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QUIVOS JOAO\Desktop\Câmara Municipal\"/>
    </mc:Choice>
  </mc:AlternateContent>
  <xr:revisionPtr revIDLastSave="0" documentId="13_ncr:1_{710082B3-7172-4595-9A71-948B2E136C75}" xr6:coauthVersionLast="47" xr6:coauthVersionMax="47" xr10:uidLastSave="{00000000-0000-0000-0000-000000000000}"/>
  <bookViews>
    <workbookView xWindow="-120" yWindow="-120" windowWidth="29040" windowHeight="15840" firstSheet="3" activeTab="13" xr2:uid="{10F972BE-84E8-480F-82BC-0BE61D4404C3}"/>
  </bookViews>
  <sheets>
    <sheet name="Oitão" sheetId="8" r:id="rId1"/>
    <sheet name="Alvenaria" sheetId="1" r:id="rId2"/>
    <sheet name="Argamassa" sheetId="2" r:id="rId3"/>
    <sheet name="Chapisco" sheetId="3" r:id="rId4"/>
    <sheet name="Emboço" sheetId="4" r:id="rId5"/>
    <sheet name="Reboco" sheetId="6" r:id="rId6"/>
    <sheet name="Pintura" sheetId="9" r:id="rId7"/>
    <sheet name="Viga de Respaldo" sheetId="10" r:id="rId8"/>
    <sheet name="Planilha1" sheetId="15" r:id="rId9"/>
    <sheet name="Tabuas e Sarrafos" sheetId="11" r:id="rId10"/>
    <sheet name="Piso" sheetId="12" r:id="rId11"/>
    <sheet name="Forro" sheetId="13" r:id="rId12"/>
    <sheet name="Telhado" sheetId="14" r:id="rId13"/>
    <sheet name="TOTAL" sheetId="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7" l="1"/>
  <c r="E26" i="7"/>
  <c r="E28" i="7"/>
  <c r="E25" i="7"/>
  <c r="C24" i="7"/>
  <c r="E24" i="7" s="1"/>
  <c r="E7" i="14"/>
  <c r="E23" i="7"/>
  <c r="C22" i="7"/>
  <c r="E22" i="7" s="1"/>
  <c r="E7" i="13"/>
  <c r="E5" i="13"/>
  <c r="C21" i="7"/>
  <c r="E21" i="7" s="1"/>
  <c r="E28" i="12"/>
  <c r="C20" i="7"/>
  <c r="E20" i="7" s="1"/>
  <c r="E24" i="12"/>
  <c r="C19" i="7"/>
  <c r="E19" i="7" s="1"/>
  <c r="C18" i="7"/>
  <c r="E18" i="7" s="1"/>
  <c r="E5" i="12"/>
  <c r="E17" i="12"/>
  <c r="C17" i="7"/>
  <c r="E17" i="7" s="1"/>
  <c r="C16" i="7"/>
  <c r="E16" i="7" s="1"/>
  <c r="E10" i="11"/>
  <c r="E8" i="11"/>
  <c r="C15" i="7"/>
  <c r="E15" i="7" s="1"/>
  <c r="E5" i="11"/>
  <c r="E14" i="7"/>
  <c r="K28" i="10"/>
  <c r="E13" i="7"/>
  <c r="E12" i="7"/>
  <c r="L24" i="10"/>
  <c r="L21" i="10"/>
  <c r="F11" i="7"/>
  <c r="C11" i="7" s="1"/>
  <c r="E11" i="7" s="1"/>
  <c r="F8" i="7"/>
  <c r="F5" i="7"/>
  <c r="L16" i="10"/>
  <c r="L14" i="10"/>
  <c r="L12" i="10"/>
  <c r="K5" i="10"/>
  <c r="B24" i="10"/>
  <c r="B23" i="10"/>
  <c r="B22" i="10"/>
  <c r="B21" i="10"/>
  <c r="F13" i="10"/>
  <c r="F11" i="10"/>
  <c r="C10" i="7"/>
  <c r="E10" i="7" s="1"/>
  <c r="E16" i="9"/>
  <c r="F14" i="9"/>
  <c r="C9" i="7"/>
  <c r="E9" i="7" s="1"/>
  <c r="E9" i="9"/>
  <c r="F8" i="6"/>
  <c r="G8" i="6"/>
  <c r="F28" i="4"/>
  <c r="M6" i="4" s="1"/>
  <c r="G28" i="4"/>
  <c r="F28" i="3"/>
  <c r="G28" i="3"/>
  <c r="E20" i="1"/>
  <c r="F20" i="1"/>
  <c r="D7" i="8"/>
  <c r="D5" i="8"/>
  <c r="F13" i="6"/>
  <c r="F15" i="6" s="1"/>
  <c r="C7" i="7" s="1"/>
  <c r="E7" i="7" s="1"/>
  <c r="G11" i="4"/>
  <c r="I16" i="4" s="1"/>
  <c r="G10" i="4"/>
  <c r="H16" i="4" s="1"/>
  <c r="G9" i="4"/>
  <c r="G16" i="4" s="1"/>
  <c r="H16" i="3"/>
  <c r="O7" i="3"/>
  <c r="G10" i="3"/>
  <c r="M6" i="3"/>
  <c r="G9" i="3"/>
  <c r="G16" i="3" s="1"/>
  <c r="I16" i="2"/>
  <c r="H16" i="2"/>
  <c r="G16" i="2"/>
  <c r="G11" i="2"/>
  <c r="G10" i="2"/>
  <c r="G9" i="2"/>
  <c r="L5" i="1"/>
  <c r="F24" i="1"/>
  <c r="B9" i="1"/>
  <c r="B10" i="1" s="1"/>
  <c r="E8" i="12" l="1"/>
  <c r="E9" i="12" s="1"/>
  <c r="E11" i="12" s="1"/>
  <c r="E25" i="1"/>
  <c r="M7" i="4"/>
  <c r="O17" i="4" s="1"/>
  <c r="I8" i="7" s="1"/>
  <c r="M7" i="3"/>
  <c r="O16" i="3" s="1"/>
  <c r="H8" i="7" s="1"/>
  <c r="K3" i="1"/>
  <c r="K6" i="1" s="1"/>
  <c r="L6" i="1" s="1"/>
  <c r="K7" i="1" s="1"/>
  <c r="M6" i="2" s="1"/>
  <c r="M7" i="2" s="1"/>
  <c r="F25" i="1"/>
  <c r="E26" i="1" s="1"/>
  <c r="C4" i="7" s="1"/>
  <c r="E4" i="7" s="1"/>
  <c r="O17" i="2" l="1"/>
  <c r="G8" i="7" s="1"/>
  <c r="O16" i="2"/>
  <c r="G6" i="7" s="1"/>
  <c r="O15" i="4"/>
  <c r="I5" i="7" s="1"/>
  <c r="O16" i="4"/>
  <c r="I6" i="7" s="1"/>
  <c r="O15" i="3"/>
  <c r="H5" i="7" s="1"/>
  <c r="O15" i="2"/>
  <c r="G5" i="7" s="1"/>
  <c r="J5" i="7" l="1"/>
  <c r="C5" i="7" s="1"/>
  <c r="E5" i="7" s="1"/>
  <c r="J8" i="7"/>
  <c r="C8" i="7" s="1"/>
  <c r="E8" i="7" s="1"/>
  <c r="J6" i="7"/>
  <c r="C6" i="7" s="1"/>
  <c r="E6" i="7" s="1"/>
  <c r="E29" i="7" l="1"/>
</calcChain>
</file>

<file path=xl/sharedStrings.xml><?xml version="1.0" encoding="utf-8"?>
<sst xmlns="http://schemas.openxmlformats.org/spreadsheetml/2006/main" count="359" uniqueCount="181">
  <si>
    <t>H=</t>
  </si>
  <si>
    <t>Esp. Junta</t>
  </si>
  <si>
    <t>C =</t>
  </si>
  <si>
    <t>L=</t>
  </si>
  <si>
    <t>N =</t>
  </si>
  <si>
    <t>Onde:</t>
  </si>
  <si>
    <t>N = Número de tijolos por m²</t>
  </si>
  <si>
    <t>Entrar com a porcentagem de perda (%)</t>
  </si>
  <si>
    <t xml:space="preserve">TOTAL DA ALVENARIA = </t>
  </si>
  <si>
    <t>C = Comprimento do tijolo (m)</t>
  </si>
  <si>
    <t>H = Altura do tijolo (m)</t>
  </si>
  <si>
    <t>L = Largura do tijolo (m)</t>
  </si>
  <si>
    <t>Esp. Junta = Espessura da junta da argamassa (m)</t>
  </si>
  <si>
    <t>Entrar com o comprimento da alvenaria (m)</t>
  </si>
  <si>
    <t>Entrar com a altura da alvenaria (m)</t>
  </si>
  <si>
    <t>Volume da Argamassa (m³) por m² =</t>
  </si>
  <si>
    <t>Entrar com porcentagem de perda (%)</t>
  </si>
  <si>
    <t>VOLUME DA ARGAMASSA (m³)</t>
  </si>
  <si>
    <t>Valores a preencher</t>
  </si>
  <si>
    <t>Resultados</t>
  </si>
  <si>
    <t>QUANTIFICAÇÃO DE ALVENARIA: TIJOLOS (BLOCOS) E ARGAMASSA</t>
  </si>
  <si>
    <t>Massa Específica</t>
  </si>
  <si>
    <t>Cimento</t>
  </si>
  <si>
    <t>Cal</t>
  </si>
  <si>
    <t>Area Média</t>
  </si>
  <si>
    <t>Kg/m³</t>
  </si>
  <si>
    <t>Massa Unitária</t>
  </si>
  <si>
    <t>1m³ = 1000 litros</t>
  </si>
  <si>
    <t>Traço:</t>
  </si>
  <si>
    <t>Massa = massa unitária * proporção do material no traço</t>
  </si>
  <si>
    <t xml:space="preserve">Massa = </t>
  </si>
  <si>
    <t>para m³ (cimento)</t>
  </si>
  <si>
    <t>para m³ (cal)</t>
  </si>
  <si>
    <t>kg</t>
  </si>
  <si>
    <t>para m³ (areia média)</t>
  </si>
  <si>
    <t>Massa dos materiais (função do cimento)</t>
  </si>
  <si>
    <t>(Traço em massa)</t>
  </si>
  <si>
    <t>Consumo de Argamassa</t>
  </si>
  <si>
    <t>Quantidade de Materiais</t>
  </si>
  <si>
    <t xml:space="preserve">Saco de cimento = </t>
  </si>
  <si>
    <t>Kg</t>
  </si>
  <si>
    <t xml:space="preserve">Saco de cal = </t>
  </si>
  <si>
    <t xml:space="preserve">Cimento = </t>
  </si>
  <si>
    <t>sacos</t>
  </si>
  <si>
    <t xml:space="preserve">Cal = </t>
  </si>
  <si>
    <t xml:space="preserve">Areia = </t>
  </si>
  <si>
    <t>m³</t>
  </si>
  <si>
    <t>Areia =</t>
  </si>
  <si>
    <t>Areia</t>
  </si>
  <si>
    <t>QUANTIFICAÇÃO DOS MATERIAIS DE ARGAMASSA: CIMENTO, CAL E AREIA</t>
  </si>
  <si>
    <t>QUANTIFICAÇÃO DOS MATERIAIS PARA O CHAPISCO: CIMENTO E AREIA</t>
  </si>
  <si>
    <t>Entre com o comprimento externo =</t>
  </si>
  <si>
    <t>Entre com o comprimento interno =</t>
  </si>
  <si>
    <t xml:space="preserve">Entre com a altura = </t>
  </si>
  <si>
    <t>Área a ser chapiscada (m²) =</t>
  </si>
  <si>
    <t xml:space="preserve">Entre com a espessura do chapisco = </t>
  </si>
  <si>
    <t>QUANTIFICAÇÃO DOS MATERIAIS PARA O EMBOÇO: CIMENTO, CAL E AREIA</t>
  </si>
  <si>
    <t xml:space="preserve">Entre com a espessura do emboço = </t>
  </si>
  <si>
    <t>Tijolos</t>
  </si>
  <si>
    <t>un</t>
  </si>
  <si>
    <t>valor saco/cimento 50 kg</t>
  </si>
  <si>
    <t>valor saco/cal 20 kg</t>
  </si>
  <si>
    <t>valor do m³ de areia média</t>
  </si>
  <si>
    <t>TOTAL GERAL</t>
  </si>
  <si>
    <t>Massa Fina</t>
  </si>
  <si>
    <t>valor saco/massa fina 20 kg</t>
  </si>
  <si>
    <t>QUANTIFICAÇÃO DO EMBOÇO (MASSA FINA) COM ESPESSURA DE 0,3 cm</t>
  </si>
  <si>
    <t xml:space="preserve">Consumo por m² em quilos </t>
  </si>
  <si>
    <t>Consumo total = kg</t>
  </si>
  <si>
    <t xml:space="preserve">Quantidade de sacos de 20 kg = </t>
  </si>
  <si>
    <t>Entre com os valores dos insumos</t>
  </si>
  <si>
    <t>valor da unidade do tijolo</t>
  </si>
  <si>
    <t>Insumos</t>
  </si>
  <si>
    <t>CÁLCULO DE ÁREA DO OITÃO</t>
  </si>
  <si>
    <t>Como são dois, o total é:</t>
  </si>
  <si>
    <t>Dividindo por 0,59 =</t>
  </si>
  <si>
    <t>m²</t>
  </si>
  <si>
    <t>m</t>
  </si>
  <si>
    <t>Área do oitão =</t>
  </si>
  <si>
    <t>QUANTIFICAÇÃO DA PINTURA (SELADOR E TINTA LATEX)</t>
  </si>
  <si>
    <t>Entre com a área total a ser pintada =</t>
  </si>
  <si>
    <t>Uma lata de selador de 18 litros rende =</t>
  </si>
  <si>
    <t>Total de latas de selador =</t>
  </si>
  <si>
    <t xml:space="preserve"> latas de 18 litros</t>
  </si>
  <si>
    <t>Selador</t>
  </si>
  <si>
    <t>valor da lata de 18 litros</t>
  </si>
  <si>
    <t>Tinta</t>
  </si>
  <si>
    <t>Uma lata de tinta suvinil de 18 litros rende =</t>
  </si>
  <si>
    <t>Vamos precisar de duas demãos, então =</t>
  </si>
  <si>
    <t xml:space="preserve">Total de latas de tinta suvinil = </t>
  </si>
  <si>
    <t>latas de 18 litros</t>
  </si>
  <si>
    <t>QUANTIFICAÇÃO DA CINTA DE AMARRAÇÃO (VIGA DE RESPALDO)</t>
  </si>
  <si>
    <t>Entre com a base da viga =</t>
  </si>
  <si>
    <t>Entre com a altura da viga =</t>
  </si>
  <si>
    <t>Entre com o comprimento da viga =</t>
  </si>
  <si>
    <t>Volume a ser concretado =</t>
  </si>
  <si>
    <t>Converter volume para dm³ =</t>
  </si>
  <si>
    <t>dm³</t>
  </si>
  <si>
    <t xml:space="preserve">Massa específica do cimento = </t>
  </si>
  <si>
    <t>Massa específica da areia =</t>
  </si>
  <si>
    <t>Massa específica da brita =</t>
  </si>
  <si>
    <t>Fator água/cimento =</t>
  </si>
  <si>
    <t>kg/dm³</t>
  </si>
  <si>
    <t xml:space="preserve">Traço do concreto = </t>
  </si>
  <si>
    <t xml:space="preserve">Consumo de massa = </t>
  </si>
  <si>
    <t xml:space="preserve">Valor da massa unitaria do cimento = </t>
  </si>
  <si>
    <t>valor da massa unitaria da areia =</t>
  </si>
  <si>
    <t>valor da massa unitaria da brita =</t>
  </si>
  <si>
    <t xml:space="preserve">Quantidade de sacos de cimento = </t>
  </si>
  <si>
    <t>Quantidade de metros de areia =</t>
  </si>
  <si>
    <t>Quantidade de metros de brita =</t>
  </si>
  <si>
    <t>Brita</t>
  </si>
  <si>
    <t>valor do m³ de brita 1</t>
  </si>
  <si>
    <t xml:space="preserve">Quantidade de barras de 10mm = </t>
  </si>
  <si>
    <t>Quantidade de aço de  10mm =</t>
  </si>
  <si>
    <t>Quantidade de aço de  5mm =</t>
  </si>
  <si>
    <t xml:space="preserve">Quantidade de barras de 5mm = </t>
  </si>
  <si>
    <t xml:space="preserve">Tamanho do estribo = </t>
  </si>
  <si>
    <t>Aço 10mm</t>
  </si>
  <si>
    <t>Aço 5mm</t>
  </si>
  <si>
    <t>valor da barra de 10mm</t>
  </si>
  <si>
    <t>valor da barra de 5mm</t>
  </si>
  <si>
    <t xml:space="preserve">Arame recozido = </t>
  </si>
  <si>
    <t>Arame</t>
  </si>
  <si>
    <t>valor do rolo de arame</t>
  </si>
  <si>
    <t xml:space="preserve">Distância linear do madeiramento da viga = </t>
  </si>
  <si>
    <t xml:space="preserve">Quantidades de tábuas de 30cm = </t>
  </si>
  <si>
    <t>QUANTIFICAÇÃO DE TÁBUAS E SARRAFOS (CAIXARIA)</t>
  </si>
  <si>
    <t>Tábuas 30</t>
  </si>
  <si>
    <t>valor da tábua de 0,30x3,00</t>
  </si>
  <si>
    <t>Quantidade de grampos</t>
  </si>
  <si>
    <t>Quantidades de sarrafos =</t>
  </si>
  <si>
    <t>Sarrafo</t>
  </si>
  <si>
    <t>valor do sarrafo de 0,05x3,00</t>
  </si>
  <si>
    <t>Quantidade de pacotes de pregos 17x21 =</t>
  </si>
  <si>
    <t>Pregos</t>
  </si>
  <si>
    <t>valor pregos pacote 17x21</t>
  </si>
  <si>
    <t>Área do piso do salão =</t>
  </si>
  <si>
    <t xml:space="preserve">Acréscimo do piso cerâmico % = </t>
  </si>
  <si>
    <t>Área total do piso cerâmico =</t>
  </si>
  <si>
    <t>Saco de argamassa para piso cerâmico =</t>
  </si>
  <si>
    <t xml:space="preserve">Quantidade de sacos de argamassa = </t>
  </si>
  <si>
    <t>Rendimento do saco de argamassa =</t>
  </si>
  <si>
    <t>QUANTIFICAÇÃO DO PISO CERÂMICO</t>
  </si>
  <si>
    <t>Rodapé</t>
  </si>
  <si>
    <t xml:space="preserve">Peças de 50 x 50 cm = </t>
  </si>
  <si>
    <t xml:space="preserve">Quantidade de caixas do piso = </t>
  </si>
  <si>
    <t>P. Cerâm.</t>
  </si>
  <si>
    <t>Argamassa</t>
  </si>
  <si>
    <t>valor da argamassa piso</t>
  </si>
  <si>
    <t>valor da peça 2 m rodapé</t>
  </si>
  <si>
    <t>Rodapé peças com 2 metros de comprimento</t>
  </si>
  <si>
    <t xml:space="preserve">Distância linear do salão = </t>
  </si>
  <si>
    <t xml:space="preserve">Quantidade de peças = </t>
  </si>
  <si>
    <t xml:space="preserve">Cola para o rodapé 1kg rende = </t>
  </si>
  <si>
    <t>Quantidade de cola =</t>
  </si>
  <si>
    <t>valor da unidade de cola</t>
  </si>
  <si>
    <t>Cola</t>
  </si>
  <si>
    <t>valor da caixa 8 pç / 2 m²</t>
  </si>
  <si>
    <t>Área do forro =</t>
  </si>
  <si>
    <t>QUANTIFICAÇÃO DO FORRO DE ISOPOR TEXTURIZADO</t>
  </si>
  <si>
    <t>Caixa com 12 peças =</t>
  </si>
  <si>
    <t>Peças de 1250 x 625 x 40mm =</t>
  </si>
  <si>
    <t>Forro Eps</t>
  </si>
  <si>
    <t>valor da caixa de forro Eps</t>
  </si>
  <si>
    <t>QUANTIFICAÇÃO TOTAL DOS MATERIAIS</t>
  </si>
  <si>
    <t>ESTRUTURA METALICA DO TELHADO E TELHAS FIBROCIMENTO</t>
  </si>
  <si>
    <t>Área do Telhado =</t>
  </si>
  <si>
    <t>Estrutura</t>
  </si>
  <si>
    <t>Estrutura metalica telhado</t>
  </si>
  <si>
    <t>Rendimento por m² telha fibrocimento =</t>
  </si>
  <si>
    <t>Quantidade total de telhas =</t>
  </si>
  <si>
    <t>Telhas</t>
  </si>
  <si>
    <t>valor das telhas fibrocimento</t>
  </si>
  <si>
    <t>Mão Obra</t>
  </si>
  <si>
    <t>calhas lum</t>
  </si>
  <si>
    <t>lampadas</t>
  </si>
  <si>
    <t>calhas luminarias 3 lampadas</t>
  </si>
  <si>
    <t>lampadas fluorescentes</t>
  </si>
  <si>
    <t>Cumeeira</t>
  </si>
  <si>
    <t>valor da mão de obra p/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</si>
</sst>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3" borderId="1" xfId="0" applyFill="1" applyBorder="1"/>
    <xf numFmtId="1" fontId="0" fillId="3" borderId="1" xfId="0" applyNumberFormat="1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0" borderId="0" xfId="0" applyNumberFormat="1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3" borderId="2" xfId="0" applyNumberFormat="1" applyFill="1" applyBorder="1"/>
    <xf numFmtId="0" fontId="0" fillId="3" borderId="3" xfId="0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0" xfId="0" applyFont="1" applyFill="1"/>
    <xf numFmtId="1" fontId="1" fillId="3" borderId="0" xfId="0" applyNumberFormat="1" applyFont="1" applyFill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2" fontId="0" fillId="3" borderId="1" xfId="0" applyNumberFormat="1" applyFill="1" applyBorder="1"/>
    <xf numFmtId="2" fontId="1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44" fontId="0" fillId="0" borderId="0" xfId="0" applyNumberFormat="1"/>
    <xf numFmtId="0" fontId="1" fillId="0" borderId="1" xfId="0" applyFont="1" applyBorder="1"/>
    <xf numFmtId="44" fontId="0" fillId="2" borderId="1" xfId="1" applyFont="1" applyFill="1" applyBorder="1"/>
    <xf numFmtId="44" fontId="1" fillId="3" borderId="1" xfId="1" applyFont="1" applyFill="1" applyBorder="1"/>
    <xf numFmtId="2" fontId="0" fillId="2" borderId="1" xfId="0" applyNumberFormat="1" applyFill="1" applyBorder="1"/>
    <xf numFmtId="0" fontId="0" fillId="0" borderId="0" xfId="0" applyAlignment="1">
      <alignment horizontal="left"/>
    </xf>
    <xf numFmtId="1" fontId="0" fillId="2" borderId="1" xfId="0" applyNumberFormat="1" applyFill="1" applyBorder="1"/>
    <xf numFmtId="2" fontId="0" fillId="4" borderId="0" xfId="0" applyNumberFormat="1" applyFill="1"/>
    <xf numFmtId="1" fontId="0" fillId="4" borderId="0" xfId="0" applyNumberFormat="1" applyFill="1"/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0DD5-CB02-4918-AAD0-CEF3A93731A6}">
  <dimension ref="A1:K7"/>
  <sheetViews>
    <sheetView showGridLines="0" zoomScale="120" zoomScaleNormal="120" workbookViewId="0">
      <selection sqref="A1:K1"/>
    </sheetView>
  </sheetViews>
  <sheetFormatPr defaultRowHeight="15" x14ac:dyDescent="0.25"/>
  <cols>
    <col min="1" max="1" width="9.85546875" bestFit="1" customWidth="1"/>
    <col min="4" max="4" width="11" customWidth="1"/>
    <col min="10" max="10" width="16" customWidth="1"/>
  </cols>
  <sheetData>
    <row r="1" spans="1:11" ht="24.75" customHeight="1" x14ac:dyDescent="0.25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x14ac:dyDescent="0.25">
      <c r="A3" t="s">
        <v>78</v>
      </c>
      <c r="C3" s="4">
        <v>3.31</v>
      </c>
      <c r="D3" t="s">
        <v>76</v>
      </c>
    </row>
    <row r="5" spans="1:11" x14ac:dyDescent="0.25">
      <c r="A5" t="s">
        <v>74</v>
      </c>
      <c r="D5" s="4">
        <f>C3*2</f>
        <v>6.62</v>
      </c>
      <c r="E5" t="s">
        <v>76</v>
      </c>
    </row>
    <row r="7" spans="1:11" x14ac:dyDescent="0.25">
      <c r="A7" t="s">
        <v>75</v>
      </c>
      <c r="D7" s="42">
        <f>D5/0.59</f>
        <v>11.220338983050848</v>
      </c>
      <c r="E7" t="s">
        <v>77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2D9E-E4B0-4BA4-89B8-12A6A821F464}">
  <dimension ref="A1:K12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1" x14ac:dyDescent="0.25">
      <c r="A1" s="48" t="s">
        <v>127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x14ac:dyDescent="0.25">
      <c r="A3" t="s">
        <v>125</v>
      </c>
      <c r="E3" s="4">
        <v>84.6</v>
      </c>
      <c r="F3" t="s">
        <v>77</v>
      </c>
    </row>
    <row r="5" spans="1:11" x14ac:dyDescent="0.25">
      <c r="A5" t="s">
        <v>126</v>
      </c>
      <c r="E5" s="7">
        <f>E3/3</f>
        <v>28.2</v>
      </c>
      <c r="F5" t="s">
        <v>59</v>
      </c>
    </row>
    <row r="8" spans="1:11" x14ac:dyDescent="0.25">
      <c r="A8" t="s">
        <v>130</v>
      </c>
      <c r="E8" s="44">
        <f>43.8/0.4</f>
        <v>109.49999999999999</v>
      </c>
      <c r="F8" t="s">
        <v>59</v>
      </c>
    </row>
    <row r="10" spans="1:11" x14ac:dyDescent="0.25">
      <c r="A10" t="s">
        <v>131</v>
      </c>
      <c r="E10" s="7">
        <f>((E8*1.15)/3)</f>
        <v>41.974999999999987</v>
      </c>
      <c r="F10" t="s">
        <v>59</v>
      </c>
    </row>
    <row r="12" spans="1:11" x14ac:dyDescent="0.25">
      <c r="A12" t="s">
        <v>134</v>
      </c>
      <c r="E12" s="44">
        <v>2</v>
      </c>
      <c r="F12" t="s">
        <v>59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C39E-8B95-439A-B79A-12D73A3D3CDA}">
  <dimension ref="A1:K28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1" x14ac:dyDescent="0.25">
      <c r="A1" s="48" t="s">
        <v>143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x14ac:dyDescent="0.25">
      <c r="A3" t="s">
        <v>137</v>
      </c>
      <c r="E3" s="42">
        <v>106.8</v>
      </c>
      <c r="F3" t="s">
        <v>76</v>
      </c>
    </row>
    <row r="4" spans="1:11" x14ac:dyDescent="0.25">
      <c r="E4" s="45"/>
    </row>
    <row r="5" spans="1:11" x14ac:dyDescent="0.25">
      <c r="A5" t="s">
        <v>145</v>
      </c>
      <c r="E5" s="7">
        <f>(E3/0.25)</f>
        <v>427.2</v>
      </c>
      <c r="F5" t="s">
        <v>59</v>
      </c>
    </row>
    <row r="7" spans="1:11" x14ac:dyDescent="0.25">
      <c r="A7" t="s">
        <v>138</v>
      </c>
      <c r="E7" s="4">
        <v>10</v>
      </c>
    </row>
    <row r="8" spans="1:11" x14ac:dyDescent="0.25">
      <c r="E8" s="2">
        <f>((E5)*E7/100)</f>
        <v>42.72</v>
      </c>
    </row>
    <row r="9" spans="1:11" x14ac:dyDescent="0.25">
      <c r="A9" t="s">
        <v>139</v>
      </c>
      <c r="E9" s="7">
        <f>(E5+E8)</f>
        <v>469.91999999999996</v>
      </c>
      <c r="F9" t="s">
        <v>59</v>
      </c>
    </row>
    <row r="10" spans="1:11" x14ac:dyDescent="0.25">
      <c r="E10" s="46"/>
    </row>
    <row r="11" spans="1:11" x14ac:dyDescent="0.25">
      <c r="A11" t="s">
        <v>146</v>
      </c>
      <c r="E11" s="7">
        <f>(E9/8)</f>
        <v>58.739999999999995</v>
      </c>
      <c r="F11" t="s">
        <v>59</v>
      </c>
    </row>
    <row r="12" spans="1:11" x14ac:dyDescent="0.25">
      <c r="E12" s="45"/>
    </row>
    <row r="13" spans="1:11" x14ac:dyDescent="0.25">
      <c r="A13" t="s">
        <v>140</v>
      </c>
      <c r="E13" s="4">
        <v>20</v>
      </c>
      <c r="F13" t="s">
        <v>33</v>
      </c>
    </row>
    <row r="15" spans="1:11" x14ac:dyDescent="0.25">
      <c r="A15" t="s">
        <v>142</v>
      </c>
      <c r="E15" s="4">
        <v>4</v>
      </c>
      <c r="F15" t="s">
        <v>76</v>
      </c>
    </row>
    <row r="17" spans="1:6" x14ac:dyDescent="0.25">
      <c r="A17" t="s">
        <v>141</v>
      </c>
      <c r="E17" s="7">
        <f>(E3/E15)</f>
        <v>26.7</v>
      </c>
      <c r="F17" t="s">
        <v>59</v>
      </c>
    </row>
    <row r="20" spans="1:6" x14ac:dyDescent="0.25">
      <c r="A20" t="s">
        <v>151</v>
      </c>
    </row>
    <row r="22" spans="1:6" x14ac:dyDescent="0.25">
      <c r="A22" t="s">
        <v>152</v>
      </c>
      <c r="E22" s="42">
        <v>41.8</v>
      </c>
      <c r="F22" t="s">
        <v>77</v>
      </c>
    </row>
    <row r="24" spans="1:6" x14ac:dyDescent="0.25">
      <c r="A24" t="s">
        <v>153</v>
      </c>
      <c r="E24" s="7">
        <f>(E22/2)</f>
        <v>20.9</v>
      </c>
      <c r="F24" t="s">
        <v>59</v>
      </c>
    </row>
    <row r="26" spans="1:6" x14ac:dyDescent="0.25">
      <c r="A26" t="s">
        <v>154</v>
      </c>
      <c r="E26" s="4">
        <v>20</v>
      </c>
      <c r="F26" t="s">
        <v>77</v>
      </c>
    </row>
    <row r="28" spans="1:6" x14ac:dyDescent="0.25">
      <c r="A28" t="s">
        <v>155</v>
      </c>
      <c r="E28" s="7">
        <f>(E22/E26)</f>
        <v>2.09</v>
      </c>
      <c r="F28" t="s">
        <v>59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085C-416F-48CA-97DB-62047086B4F3}">
  <dimension ref="A1:K7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1" x14ac:dyDescent="0.25">
      <c r="A1" s="48" t="s">
        <v>160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x14ac:dyDescent="0.25">
      <c r="A3" t="s">
        <v>159</v>
      </c>
      <c r="E3" s="42">
        <v>106.8</v>
      </c>
      <c r="F3" t="s">
        <v>76</v>
      </c>
    </row>
    <row r="4" spans="1:11" x14ac:dyDescent="0.25">
      <c r="E4" s="45"/>
    </row>
    <row r="5" spans="1:11" x14ac:dyDescent="0.25">
      <c r="A5" t="s">
        <v>162</v>
      </c>
      <c r="E5" s="7">
        <f>(E3/0.78)</f>
        <v>136.92307692307691</v>
      </c>
      <c r="F5" t="s">
        <v>59</v>
      </c>
    </row>
    <row r="7" spans="1:11" x14ac:dyDescent="0.25">
      <c r="A7" t="s">
        <v>161</v>
      </c>
      <c r="E7" s="7">
        <f>(E5/12)</f>
        <v>11.410256410256409</v>
      </c>
      <c r="F7" t="s">
        <v>59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E084-1420-4B8E-AFFB-FEDF3C38BABC}">
  <dimension ref="A1:K7"/>
  <sheetViews>
    <sheetView showGridLines="0" zoomScale="120" zoomScaleNormal="120" workbookViewId="0">
      <selection activeCell="E7" sqref="E7"/>
    </sheetView>
  </sheetViews>
  <sheetFormatPr defaultRowHeight="15" x14ac:dyDescent="0.25"/>
  <cols>
    <col min="2" max="2" width="11.42578125" customWidth="1"/>
  </cols>
  <sheetData>
    <row r="1" spans="1:11" x14ac:dyDescent="0.25">
      <c r="A1" s="48" t="s">
        <v>166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x14ac:dyDescent="0.25">
      <c r="A3" t="s">
        <v>167</v>
      </c>
      <c r="E3" s="42">
        <v>130</v>
      </c>
      <c r="F3" t="s">
        <v>76</v>
      </c>
    </row>
    <row r="4" spans="1:11" x14ac:dyDescent="0.25">
      <c r="E4" s="45"/>
    </row>
    <row r="5" spans="1:11" x14ac:dyDescent="0.25">
      <c r="A5" t="s">
        <v>170</v>
      </c>
      <c r="E5" s="42">
        <v>1.53</v>
      </c>
      <c r="F5" t="s">
        <v>59</v>
      </c>
    </row>
    <row r="7" spans="1:11" x14ac:dyDescent="0.25">
      <c r="A7" t="s">
        <v>171</v>
      </c>
      <c r="E7" s="7">
        <f>(E3/E5)</f>
        <v>84.967320261437905</v>
      </c>
      <c r="F7" t="s">
        <v>59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6772-B7DF-4CE8-8D9D-A974C89A0749}">
  <dimension ref="B1:M30"/>
  <sheetViews>
    <sheetView showGridLines="0" tabSelected="1" zoomScale="120" zoomScaleNormal="120" workbookViewId="0">
      <selection activeCell="B1" sqref="B1:M1"/>
    </sheetView>
  </sheetViews>
  <sheetFormatPr defaultRowHeight="15" x14ac:dyDescent="0.25"/>
  <cols>
    <col min="2" max="2" width="11" bestFit="1" customWidth="1"/>
    <col min="5" max="5" width="15" bestFit="1" customWidth="1"/>
    <col min="6" max="10" width="8.7109375" hidden="1" customWidth="1"/>
    <col min="11" max="11" width="8.7109375" customWidth="1"/>
    <col min="12" max="12" width="27.85546875" bestFit="1" customWidth="1"/>
    <col min="13" max="13" width="13.85546875" bestFit="1" customWidth="1"/>
  </cols>
  <sheetData>
    <row r="1" spans="2:13" x14ac:dyDescent="0.25">
      <c r="B1" s="60" t="s">
        <v>165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3" spans="2:13" x14ac:dyDescent="0.25">
      <c r="B3" s="57" t="s">
        <v>72</v>
      </c>
      <c r="C3" s="58"/>
      <c r="D3" s="58"/>
      <c r="E3" s="59"/>
      <c r="L3" s="63" t="s">
        <v>70</v>
      </c>
      <c r="M3" s="63"/>
    </row>
    <row r="4" spans="2:13" x14ac:dyDescent="0.25">
      <c r="B4" s="39" t="s">
        <v>58</v>
      </c>
      <c r="C4" s="34">
        <f>Alvenaria!E26</f>
        <v>892.70499999999981</v>
      </c>
      <c r="D4" s="9" t="s">
        <v>59</v>
      </c>
      <c r="E4" s="40">
        <f>C4*M4</f>
        <v>696.30989999999986</v>
      </c>
      <c r="L4" s="47" t="s">
        <v>71</v>
      </c>
      <c r="M4" s="40">
        <v>0.78</v>
      </c>
    </row>
    <row r="5" spans="2:13" x14ac:dyDescent="0.25">
      <c r="B5" s="39" t="s">
        <v>22</v>
      </c>
      <c r="C5" s="34">
        <f>J5</f>
        <v>34.440227604573458</v>
      </c>
      <c r="D5" s="9" t="s">
        <v>59</v>
      </c>
      <c r="E5" s="40">
        <f>C5*M5</f>
        <v>1033.2068281372037</v>
      </c>
      <c r="F5" s="35">
        <f>'Viga de Respaldo'!L12</f>
        <v>8.7197014925373146</v>
      </c>
      <c r="G5" s="35">
        <f>Argamassa!O15</f>
        <v>2.286040225884538</v>
      </c>
      <c r="H5" s="35">
        <f>Chapisco!O15</f>
        <v>13.946190106846061</v>
      </c>
      <c r="I5" s="35">
        <f>Emboço!O15</f>
        <v>9.4882957793055436</v>
      </c>
      <c r="J5" s="35">
        <f>SUM(F5:I5)</f>
        <v>34.440227604573458</v>
      </c>
      <c r="L5" s="47" t="s">
        <v>60</v>
      </c>
      <c r="M5" s="40">
        <v>30</v>
      </c>
    </row>
    <row r="6" spans="2:13" x14ac:dyDescent="0.25">
      <c r="B6" s="39" t="s">
        <v>23</v>
      </c>
      <c r="C6" s="34">
        <f>J6</f>
        <v>29.435840012975206</v>
      </c>
      <c r="D6" s="9" t="s">
        <v>59</v>
      </c>
      <c r="E6" s="40">
        <f t="shared" ref="E6:E10" si="0">C6*M6</f>
        <v>529.84512023355364</v>
      </c>
      <c r="G6" s="35">
        <f>Argamassa!O16</f>
        <v>5.7151005647113449</v>
      </c>
      <c r="H6" s="35"/>
      <c r="I6" s="35">
        <f>Emboço!O16</f>
        <v>23.72073944826386</v>
      </c>
      <c r="J6" s="35">
        <f>SUM(G6:I6)</f>
        <v>29.435840012975206</v>
      </c>
      <c r="L6" s="47" t="s">
        <v>61</v>
      </c>
      <c r="M6" s="40">
        <v>18</v>
      </c>
    </row>
    <row r="7" spans="2:13" x14ac:dyDescent="0.25">
      <c r="B7" s="39" t="s">
        <v>64</v>
      </c>
      <c r="C7" s="34">
        <f>Reboco!F15</f>
        <v>6.7418999999999993</v>
      </c>
      <c r="D7" s="9" t="s">
        <v>59</v>
      </c>
      <c r="E7" s="40">
        <f t="shared" ref="E7" si="1">C7*M7</f>
        <v>241.15776299999999</v>
      </c>
      <c r="G7" s="35"/>
      <c r="H7" s="35"/>
      <c r="I7" s="35"/>
      <c r="J7" s="35"/>
      <c r="L7" s="47" t="s">
        <v>65</v>
      </c>
      <c r="M7" s="40">
        <v>35.770000000000003</v>
      </c>
    </row>
    <row r="8" spans="2:13" x14ac:dyDescent="0.25">
      <c r="B8" s="39" t="s">
        <v>48</v>
      </c>
      <c r="C8" s="37">
        <f>J8</f>
        <v>3.4261051523205959</v>
      </c>
      <c r="D8" s="9" t="s">
        <v>46</v>
      </c>
      <c r="E8" s="40">
        <f t="shared" si="0"/>
        <v>222.69683490083872</v>
      </c>
      <c r="F8" s="36">
        <f>'Viga de Respaldo'!L14</f>
        <v>0.71809306409130813</v>
      </c>
      <c r="G8" s="36">
        <f>Argamassa!O17</f>
        <v>0.46759913711274642</v>
      </c>
      <c r="H8" s="36">
        <f>Chapisco!O16</f>
        <v>0.29962517807677086</v>
      </c>
      <c r="I8" s="36">
        <f>Emboço!O17</f>
        <v>1.9407877730397702</v>
      </c>
      <c r="J8" s="36">
        <f>SUM(F8:I8)</f>
        <v>3.4261051523205959</v>
      </c>
      <c r="L8" s="47" t="s">
        <v>62</v>
      </c>
      <c r="M8" s="40">
        <v>65</v>
      </c>
    </row>
    <row r="9" spans="2:13" x14ac:dyDescent="0.25">
      <c r="B9" s="39" t="s">
        <v>84</v>
      </c>
      <c r="C9" s="34">
        <f>Pintura!E9</f>
        <v>3.6255999999999999</v>
      </c>
      <c r="D9" s="9" t="s">
        <v>59</v>
      </c>
      <c r="E9" s="40">
        <f t="shared" si="0"/>
        <v>645.35680000000002</v>
      </c>
      <c r="G9" s="36"/>
      <c r="H9" s="36"/>
      <c r="I9" s="36"/>
      <c r="J9" s="35"/>
      <c r="L9" s="47" t="s">
        <v>85</v>
      </c>
      <c r="M9" s="40">
        <v>178</v>
      </c>
    </row>
    <row r="10" spans="2:13" x14ac:dyDescent="0.25">
      <c r="B10" s="39" t="s">
        <v>86</v>
      </c>
      <c r="C10" s="34">
        <f>Pintura!E16</f>
        <v>2.4170666666666665</v>
      </c>
      <c r="D10" s="9" t="s">
        <v>59</v>
      </c>
      <c r="E10" s="40">
        <f t="shared" si="0"/>
        <v>1397.6929706666665</v>
      </c>
      <c r="G10" s="36"/>
      <c r="H10" s="36"/>
      <c r="I10" s="36"/>
      <c r="J10" s="35"/>
      <c r="L10" s="47" t="s">
        <v>85</v>
      </c>
      <c r="M10" s="40">
        <v>578.26</v>
      </c>
    </row>
    <row r="11" spans="2:13" x14ac:dyDescent="0.25">
      <c r="B11" s="39" t="s">
        <v>111</v>
      </c>
      <c r="C11" s="37">
        <f>F11</f>
        <v>1.0172985074626866</v>
      </c>
      <c r="D11" s="9" t="s">
        <v>46</v>
      </c>
      <c r="E11" s="40">
        <f>C11*M11</f>
        <v>70.834495074626858</v>
      </c>
      <c r="F11" s="36">
        <f>'Viga de Respaldo'!L16</f>
        <v>1.0172985074626866</v>
      </c>
      <c r="G11" s="36"/>
      <c r="H11" s="36"/>
      <c r="I11" s="36"/>
      <c r="J11" s="35"/>
      <c r="L11" s="47" t="s">
        <v>112</v>
      </c>
      <c r="M11" s="40">
        <v>69.63</v>
      </c>
    </row>
    <row r="12" spans="2:13" x14ac:dyDescent="0.25">
      <c r="B12" s="39" t="s">
        <v>118</v>
      </c>
      <c r="C12" s="34">
        <v>111</v>
      </c>
      <c r="D12" s="9" t="s">
        <v>33</v>
      </c>
      <c r="E12" s="40">
        <f t="shared" ref="E12:E19" si="2">C12*M12</f>
        <v>852.48</v>
      </c>
      <c r="F12" s="36"/>
      <c r="G12" s="36"/>
      <c r="H12" s="36"/>
      <c r="I12" s="36"/>
      <c r="J12" s="35"/>
      <c r="L12" s="47" t="s">
        <v>120</v>
      </c>
      <c r="M12" s="40">
        <v>7.68</v>
      </c>
    </row>
    <row r="13" spans="2:13" x14ac:dyDescent="0.25">
      <c r="B13" s="39" t="s">
        <v>119</v>
      </c>
      <c r="C13" s="34">
        <v>24</v>
      </c>
      <c r="D13" s="9" t="s">
        <v>33</v>
      </c>
      <c r="E13" s="40">
        <f t="shared" si="2"/>
        <v>174.24</v>
      </c>
      <c r="F13" s="36"/>
      <c r="G13" s="36"/>
      <c r="H13" s="36"/>
      <c r="I13" s="36"/>
      <c r="J13" s="35"/>
      <c r="L13" s="47" t="s">
        <v>121</v>
      </c>
      <c r="M13" s="40">
        <v>7.26</v>
      </c>
    </row>
    <row r="14" spans="2:13" x14ac:dyDescent="0.25">
      <c r="B14" s="39" t="s">
        <v>123</v>
      </c>
      <c r="C14" s="34">
        <v>3</v>
      </c>
      <c r="D14" s="9" t="s">
        <v>33</v>
      </c>
      <c r="E14" s="40">
        <f t="shared" si="2"/>
        <v>49.5</v>
      </c>
      <c r="F14" s="36"/>
      <c r="G14" s="36"/>
      <c r="H14" s="36"/>
      <c r="I14" s="36"/>
      <c r="J14" s="35"/>
      <c r="L14" s="47" t="s">
        <v>124</v>
      </c>
      <c r="M14" s="40">
        <v>16.5</v>
      </c>
    </row>
    <row r="15" spans="2:13" x14ac:dyDescent="0.25">
      <c r="B15" s="39" t="s">
        <v>128</v>
      </c>
      <c r="C15" s="34">
        <f>'Tabuas e Sarrafos'!E5</f>
        <v>28.2</v>
      </c>
      <c r="D15" s="9" t="s">
        <v>59</v>
      </c>
      <c r="E15" s="40">
        <f t="shared" si="2"/>
        <v>1087.1099999999999</v>
      </c>
      <c r="F15" s="36"/>
      <c r="G15" s="36"/>
      <c r="H15" s="36"/>
      <c r="I15" s="36"/>
      <c r="J15" s="35"/>
      <c r="L15" s="47" t="s">
        <v>129</v>
      </c>
      <c r="M15" s="40">
        <v>38.549999999999997</v>
      </c>
    </row>
    <row r="16" spans="2:13" x14ac:dyDescent="0.25">
      <c r="B16" s="39" t="s">
        <v>132</v>
      </c>
      <c r="C16" s="34">
        <f>'Tabuas e Sarrafos'!E10</f>
        <v>41.974999999999987</v>
      </c>
      <c r="D16" s="9" t="s">
        <v>59</v>
      </c>
      <c r="E16" s="40">
        <f t="shared" si="2"/>
        <v>236.73899999999992</v>
      </c>
      <c r="F16" s="36"/>
      <c r="G16" s="36"/>
      <c r="H16" s="36"/>
      <c r="I16" s="36"/>
      <c r="J16" s="35"/>
      <c r="L16" s="47" t="s">
        <v>133</v>
      </c>
      <c r="M16" s="40">
        <v>5.64</v>
      </c>
    </row>
    <row r="17" spans="2:13" x14ac:dyDescent="0.25">
      <c r="B17" s="39" t="s">
        <v>135</v>
      </c>
      <c r="C17" s="34">
        <f>'Tabuas e Sarrafos'!E12</f>
        <v>2</v>
      </c>
      <c r="D17" s="9" t="s">
        <v>59</v>
      </c>
      <c r="E17" s="40">
        <f t="shared" si="2"/>
        <v>29.26</v>
      </c>
      <c r="F17" s="36"/>
      <c r="G17" s="36"/>
      <c r="H17" s="36"/>
      <c r="I17" s="36"/>
      <c r="J17" s="35"/>
      <c r="L17" s="47" t="s">
        <v>136</v>
      </c>
      <c r="M17" s="40">
        <v>14.63</v>
      </c>
    </row>
    <row r="18" spans="2:13" x14ac:dyDescent="0.25">
      <c r="B18" s="39" t="s">
        <v>147</v>
      </c>
      <c r="C18" s="34">
        <f>Piso!E11</f>
        <v>58.739999999999995</v>
      </c>
      <c r="D18" s="9" t="s">
        <v>59</v>
      </c>
      <c r="E18" s="40">
        <f t="shared" si="2"/>
        <v>1614.1751999999999</v>
      </c>
      <c r="F18" s="36"/>
      <c r="G18" s="36"/>
      <c r="H18" s="36"/>
      <c r="I18" s="36"/>
      <c r="J18" s="35"/>
      <c r="L18" s="47" t="s">
        <v>158</v>
      </c>
      <c r="M18" s="40">
        <v>27.48</v>
      </c>
    </row>
    <row r="19" spans="2:13" x14ac:dyDescent="0.25">
      <c r="B19" s="39" t="s">
        <v>148</v>
      </c>
      <c r="C19" s="34">
        <f>Piso!E17</f>
        <v>26.7</v>
      </c>
      <c r="D19" s="9" t="s">
        <v>59</v>
      </c>
      <c r="E19" s="40">
        <f t="shared" si="2"/>
        <v>373.53300000000002</v>
      </c>
      <c r="F19" s="36"/>
      <c r="G19" s="36"/>
      <c r="H19" s="36"/>
      <c r="I19" s="36"/>
      <c r="J19" s="35"/>
      <c r="L19" s="47" t="s">
        <v>149</v>
      </c>
      <c r="M19" s="40">
        <v>13.99</v>
      </c>
    </row>
    <row r="20" spans="2:13" x14ac:dyDescent="0.25">
      <c r="B20" s="39" t="s">
        <v>144</v>
      </c>
      <c r="C20" s="34">
        <f>Piso!E24</f>
        <v>20.9</v>
      </c>
      <c r="D20" s="9" t="s">
        <v>59</v>
      </c>
      <c r="E20" s="40">
        <f t="shared" ref="E20" si="3">C20*M20</f>
        <v>625.53699999999992</v>
      </c>
      <c r="F20" s="36"/>
      <c r="G20" s="36"/>
      <c r="H20" s="36"/>
      <c r="I20" s="36"/>
      <c r="J20" s="35"/>
      <c r="L20" s="47" t="s">
        <v>150</v>
      </c>
      <c r="M20" s="40">
        <v>29.93</v>
      </c>
    </row>
    <row r="21" spans="2:13" x14ac:dyDescent="0.25">
      <c r="B21" s="39" t="s">
        <v>157</v>
      </c>
      <c r="C21" s="34">
        <f>Piso!E28</f>
        <v>2.09</v>
      </c>
      <c r="D21" s="9" t="s">
        <v>59</v>
      </c>
      <c r="E21" s="40">
        <f t="shared" ref="E21:E22" si="4">C21*M21</f>
        <v>106.5064</v>
      </c>
      <c r="F21" s="36"/>
      <c r="G21" s="36"/>
      <c r="H21" s="36"/>
      <c r="I21" s="36"/>
      <c r="J21" s="35"/>
      <c r="L21" s="47" t="s">
        <v>156</v>
      </c>
      <c r="M21" s="40">
        <v>50.96</v>
      </c>
    </row>
    <row r="22" spans="2:13" x14ac:dyDescent="0.25">
      <c r="B22" s="39" t="s">
        <v>163</v>
      </c>
      <c r="C22" s="34">
        <f>Forro!E7</f>
        <v>11.410256410256409</v>
      </c>
      <c r="D22" s="9" t="s">
        <v>59</v>
      </c>
      <c r="E22" s="40">
        <f t="shared" si="4"/>
        <v>3012.3076923076919</v>
      </c>
      <c r="F22" s="36"/>
      <c r="G22" s="36"/>
      <c r="H22" s="36"/>
      <c r="I22" s="36"/>
      <c r="J22" s="35"/>
      <c r="L22" s="47" t="s">
        <v>164</v>
      </c>
      <c r="M22" s="40">
        <v>264</v>
      </c>
    </row>
    <row r="23" spans="2:13" x14ac:dyDescent="0.25">
      <c r="B23" s="39" t="s">
        <v>168</v>
      </c>
      <c r="C23" s="34">
        <v>1</v>
      </c>
      <c r="D23" s="9" t="s">
        <v>59</v>
      </c>
      <c r="E23" s="40">
        <f t="shared" ref="E23" si="5">C23*M23</f>
        <v>19500</v>
      </c>
      <c r="F23" s="36"/>
      <c r="G23" s="36"/>
      <c r="H23" s="36"/>
      <c r="I23" s="36"/>
      <c r="J23" s="35"/>
      <c r="L23" s="47" t="s">
        <v>169</v>
      </c>
      <c r="M23" s="40">
        <v>19500</v>
      </c>
    </row>
    <row r="24" spans="2:13" x14ac:dyDescent="0.25">
      <c r="B24" s="39" t="s">
        <v>172</v>
      </c>
      <c r="C24" s="34">
        <f>Telhado!E7</f>
        <v>84.967320261437905</v>
      </c>
      <c r="D24" s="9" t="s">
        <v>59</v>
      </c>
      <c r="E24" s="40">
        <f t="shared" ref="E24:E28" si="6">C24*M24</f>
        <v>4502.418300653595</v>
      </c>
      <c r="F24" s="36"/>
      <c r="G24" s="36"/>
      <c r="H24" s="36"/>
      <c r="I24" s="36"/>
      <c r="J24" s="35"/>
      <c r="L24" s="47" t="s">
        <v>173</v>
      </c>
      <c r="M24" s="40">
        <v>52.99</v>
      </c>
    </row>
    <row r="25" spans="2:13" x14ac:dyDescent="0.25">
      <c r="B25" s="39" t="s">
        <v>175</v>
      </c>
      <c r="C25" s="34">
        <v>16</v>
      </c>
      <c r="D25" s="9" t="s">
        <v>59</v>
      </c>
      <c r="E25" s="40">
        <f t="shared" si="6"/>
        <v>1584</v>
      </c>
      <c r="F25" s="36"/>
      <c r="G25" s="36"/>
      <c r="H25" s="36"/>
      <c r="I25" s="36"/>
      <c r="J25" s="35"/>
      <c r="L25" s="47" t="s">
        <v>177</v>
      </c>
      <c r="M25" s="40">
        <v>99</v>
      </c>
    </row>
    <row r="26" spans="2:13" x14ac:dyDescent="0.25">
      <c r="B26" s="39" t="s">
        <v>176</v>
      </c>
      <c r="C26" s="34">
        <v>48</v>
      </c>
      <c r="D26" s="9" t="s">
        <v>59</v>
      </c>
      <c r="E26" s="40">
        <f t="shared" si="6"/>
        <v>720</v>
      </c>
      <c r="F26" s="36"/>
      <c r="G26" s="36"/>
      <c r="H26" s="36"/>
      <c r="I26" s="36"/>
      <c r="J26" s="35"/>
      <c r="L26" s="47" t="s">
        <v>178</v>
      </c>
      <c r="M26" s="40">
        <v>15</v>
      </c>
    </row>
    <row r="27" spans="2:13" x14ac:dyDescent="0.25">
      <c r="B27" s="39" t="s">
        <v>179</v>
      </c>
      <c r="C27" s="34">
        <v>15</v>
      </c>
      <c r="D27" s="9" t="s">
        <v>59</v>
      </c>
      <c r="E27" s="40">
        <f t="shared" ref="E27" si="7">C27*M27</f>
        <v>717</v>
      </c>
      <c r="F27" s="36"/>
      <c r="G27" s="36"/>
      <c r="H27" s="36"/>
      <c r="I27" s="36"/>
      <c r="J27" s="35"/>
      <c r="L27" s="47" t="s">
        <v>179</v>
      </c>
      <c r="M27" s="40">
        <v>47.8</v>
      </c>
    </row>
    <row r="28" spans="2:13" x14ac:dyDescent="0.25">
      <c r="B28" s="39" t="s">
        <v>174</v>
      </c>
      <c r="C28" s="37">
        <v>117.5</v>
      </c>
      <c r="D28" s="9" t="s">
        <v>76</v>
      </c>
      <c r="E28" s="40">
        <f t="shared" si="6"/>
        <v>42344.65</v>
      </c>
      <c r="F28" s="36"/>
      <c r="G28" s="36"/>
      <c r="H28" s="36"/>
      <c r="I28" s="36"/>
      <c r="J28" s="35"/>
      <c r="L28" s="47" t="s">
        <v>180</v>
      </c>
      <c r="M28" s="40">
        <v>360.38</v>
      </c>
    </row>
    <row r="29" spans="2:13" x14ac:dyDescent="0.25">
      <c r="B29" s="57" t="s">
        <v>63</v>
      </c>
      <c r="C29" s="58"/>
      <c r="D29" s="59"/>
      <c r="E29" s="41">
        <f>SUM(E4:E28)</f>
        <v>82366.55730497418</v>
      </c>
    </row>
    <row r="30" spans="2:13" x14ac:dyDescent="0.25">
      <c r="E30" s="38"/>
    </row>
  </sheetData>
  <mergeCells count="4">
    <mergeCell ref="B29:D29"/>
    <mergeCell ref="B3:E3"/>
    <mergeCell ref="B1:M1"/>
    <mergeCell ref="L3:M3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53E8-4C22-479B-B1FA-A39FD52C22E4}">
  <dimension ref="A1:L26"/>
  <sheetViews>
    <sheetView showGridLines="0" zoomScale="120" zoomScaleNormal="120" workbookViewId="0">
      <selection sqref="A1:K1"/>
    </sheetView>
  </sheetViews>
  <sheetFormatPr defaultRowHeight="15" x14ac:dyDescent="0.25"/>
  <cols>
    <col min="1" max="1" width="9.85546875" bestFit="1" customWidth="1"/>
    <col min="4" max="4" width="11" customWidth="1"/>
    <col min="10" max="10" width="16" customWidth="1"/>
  </cols>
  <sheetData>
    <row r="1" spans="1:12" ht="24.75" customHeight="1" x14ac:dyDescent="0.25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2" x14ac:dyDescent="0.25">
      <c r="A3" s="1" t="s">
        <v>2</v>
      </c>
      <c r="B3" s="4">
        <v>0.19</v>
      </c>
      <c r="H3" t="s">
        <v>15</v>
      </c>
      <c r="K3" s="6">
        <f>(((1-B10*(B3*B4))*B5))</f>
        <v>8.775000000000012E-3</v>
      </c>
    </row>
    <row r="4" spans="1:12" x14ac:dyDescent="0.25">
      <c r="A4" s="1" t="s">
        <v>0</v>
      </c>
      <c r="B4" s="4">
        <v>0.19</v>
      </c>
    </row>
    <row r="5" spans="1:12" x14ac:dyDescent="0.25">
      <c r="A5" s="1" t="s">
        <v>3</v>
      </c>
      <c r="B5" s="4">
        <v>0.09</v>
      </c>
      <c r="H5" t="s">
        <v>16</v>
      </c>
      <c r="K5" s="4">
        <v>20</v>
      </c>
      <c r="L5" s="2">
        <f>K5/100</f>
        <v>0.2</v>
      </c>
    </row>
    <row r="6" spans="1:12" x14ac:dyDescent="0.25">
      <c r="K6" s="2">
        <f>(E20*E22)*K3</f>
        <v>0.28485405000000036</v>
      </c>
      <c r="L6" s="2">
        <f>K6*L5</f>
        <v>5.6970810000000073E-2</v>
      </c>
    </row>
    <row r="7" spans="1:12" x14ac:dyDescent="0.25">
      <c r="A7" s="1" t="s">
        <v>1</v>
      </c>
      <c r="B7" s="4">
        <v>0.01</v>
      </c>
      <c r="H7" t="s">
        <v>17</v>
      </c>
      <c r="K7" s="30">
        <f>K6+L6</f>
        <v>0.34182486000000045</v>
      </c>
    </row>
    <row r="9" spans="1:12" x14ac:dyDescent="0.25">
      <c r="B9" s="2">
        <f>((B3+B7)*(B4+B7))</f>
        <v>4.0000000000000008E-2</v>
      </c>
    </row>
    <row r="10" spans="1:12" x14ac:dyDescent="0.25">
      <c r="A10" s="1" t="s">
        <v>4</v>
      </c>
      <c r="B10" s="7">
        <f>1/B9</f>
        <v>24.999999999999996</v>
      </c>
    </row>
    <row r="12" spans="1:12" x14ac:dyDescent="0.25">
      <c r="A12" t="s">
        <v>5</v>
      </c>
    </row>
    <row r="13" spans="1:12" x14ac:dyDescent="0.25">
      <c r="A13" t="s">
        <v>9</v>
      </c>
    </row>
    <row r="14" spans="1:12" x14ac:dyDescent="0.25">
      <c r="A14" t="s">
        <v>10</v>
      </c>
      <c r="H14" s="4"/>
      <c r="I14" t="s">
        <v>18</v>
      </c>
    </row>
    <row r="15" spans="1:12" x14ac:dyDescent="0.25">
      <c r="A15" t="s">
        <v>11</v>
      </c>
    </row>
    <row r="16" spans="1:12" x14ac:dyDescent="0.25">
      <c r="A16" t="s">
        <v>12</v>
      </c>
      <c r="H16" s="6"/>
      <c r="I16" t="s">
        <v>19</v>
      </c>
    </row>
    <row r="17" spans="1:7" x14ac:dyDescent="0.25">
      <c r="A17" t="s">
        <v>6</v>
      </c>
    </row>
    <row r="20" spans="1:7" x14ac:dyDescent="0.25">
      <c r="A20" t="s">
        <v>13</v>
      </c>
      <c r="E20" s="42">
        <f>SUM(43.8+F20)</f>
        <v>55.020338983050848</v>
      </c>
      <c r="F20" s="11">
        <f>Oitão!D7</f>
        <v>11.220338983050848</v>
      </c>
    </row>
    <row r="22" spans="1:7" x14ac:dyDescent="0.25">
      <c r="A22" t="s">
        <v>14</v>
      </c>
      <c r="E22" s="4">
        <v>0.59</v>
      </c>
    </row>
    <row r="23" spans="1:7" x14ac:dyDescent="0.25">
      <c r="E23" s="3"/>
      <c r="F23" s="3"/>
      <c r="G23" s="3"/>
    </row>
    <row r="24" spans="1:7" x14ac:dyDescent="0.25">
      <c r="A24" t="s">
        <v>7</v>
      </c>
      <c r="E24" s="5">
        <v>10</v>
      </c>
      <c r="F24" s="2">
        <f>E24/100</f>
        <v>0.1</v>
      </c>
      <c r="G24" s="3"/>
    </row>
    <row r="25" spans="1:7" x14ac:dyDescent="0.25">
      <c r="E25" s="2">
        <f>((E20*E22)*B10)</f>
        <v>811.54999999999984</v>
      </c>
      <c r="F25" s="2">
        <f>E25*F24</f>
        <v>81.154999999999987</v>
      </c>
      <c r="G25" s="3"/>
    </row>
    <row r="26" spans="1:7" x14ac:dyDescent="0.25">
      <c r="A26" t="s">
        <v>8</v>
      </c>
      <c r="E26" s="7">
        <f>(E25+F25)</f>
        <v>892.70499999999981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E4EB-C6F3-49EC-8061-312835FB0CF2}">
  <dimension ref="A1:P22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6" x14ac:dyDescent="0.25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4" spans="1:16" x14ac:dyDescent="0.25">
      <c r="F4" s="49" t="s">
        <v>28</v>
      </c>
      <c r="G4" s="9" t="s">
        <v>22</v>
      </c>
      <c r="H4" s="9" t="s">
        <v>23</v>
      </c>
      <c r="I4" s="9" t="s">
        <v>48</v>
      </c>
    </row>
    <row r="5" spans="1:16" x14ac:dyDescent="0.25">
      <c r="B5" s="53" t="s">
        <v>21</v>
      </c>
      <c r="C5" s="54"/>
      <c r="D5" s="10" t="s">
        <v>25</v>
      </c>
      <c r="F5" s="50"/>
      <c r="G5" s="13">
        <v>1</v>
      </c>
      <c r="H5" s="13">
        <v>0.5</v>
      </c>
      <c r="I5" s="13">
        <v>4.5</v>
      </c>
      <c r="M5" s="8" t="s">
        <v>37</v>
      </c>
      <c r="N5" s="8"/>
      <c r="O5" s="8"/>
    </row>
    <row r="6" spans="1:16" x14ac:dyDescent="0.25">
      <c r="B6" s="51" t="s">
        <v>22</v>
      </c>
      <c r="C6" s="52"/>
      <c r="D6" s="12">
        <v>3110</v>
      </c>
      <c r="M6" s="11">
        <f>Alvenaria!K7</f>
        <v>0.34182486000000045</v>
      </c>
    </row>
    <row r="7" spans="1:16" x14ac:dyDescent="0.25">
      <c r="B7" s="51" t="s">
        <v>23</v>
      </c>
      <c r="C7" s="52"/>
      <c r="D7" s="12">
        <v>1800</v>
      </c>
      <c r="F7" t="s">
        <v>29</v>
      </c>
      <c r="M7" s="17">
        <f>(M6/((G16/D6)+(H16/D7)+(I16/D8)))</f>
        <v>114.3020112942269</v>
      </c>
      <c r="N7" s="18" t="s">
        <v>33</v>
      </c>
    </row>
    <row r="8" spans="1:16" x14ac:dyDescent="0.25">
      <c r="B8" s="51" t="s">
        <v>24</v>
      </c>
      <c r="C8" s="52"/>
      <c r="D8" s="12">
        <v>2600</v>
      </c>
    </row>
    <row r="9" spans="1:16" x14ac:dyDescent="0.25">
      <c r="F9" t="s">
        <v>30</v>
      </c>
      <c r="G9" s="14">
        <f>(D11*G5)</f>
        <v>1100</v>
      </c>
      <c r="H9" t="s">
        <v>33</v>
      </c>
      <c r="I9" t="s">
        <v>31</v>
      </c>
      <c r="M9" s="8" t="s">
        <v>38</v>
      </c>
      <c r="N9" s="8"/>
      <c r="O9" s="8"/>
    </row>
    <row r="10" spans="1:16" x14ac:dyDescent="0.25">
      <c r="B10" s="53" t="s">
        <v>26</v>
      </c>
      <c r="C10" s="54"/>
      <c r="D10" s="10" t="s">
        <v>25</v>
      </c>
      <c r="F10" t="s">
        <v>30</v>
      </c>
      <c r="G10" s="14">
        <f>(D12*H5)</f>
        <v>300</v>
      </c>
      <c r="H10" t="s">
        <v>33</v>
      </c>
      <c r="I10" t="s">
        <v>32</v>
      </c>
    </row>
    <row r="11" spans="1:16" x14ac:dyDescent="0.25">
      <c r="B11" s="51" t="s">
        <v>22</v>
      </c>
      <c r="C11" s="52"/>
      <c r="D11" s="12">
        <v>1100</v>
      </c>
      <c r="F11" t="s">
        <v>30</v>
      </c>
      <c r="G11" s="14">
        <f>(D13*I5)</f>
        <v>7200</v>
      </c>
      <c r="H11" t="s">
        <v>33</v>
      </c>
      <c r="I11" t="s">
        <v>34</v>
      </c>
      <c r="M11" t="s">
        <v>39</v>
      </c>
      <c r="O11" s="12">
        <v>50</v>
      </c>
      <c r="P11" s="1" t="s">
        <v>40</v>
      </c>
    </row>
    <row r="12" spans="1:16" x14ac:dyDescent="0.25">
      <c r="B12" s="51" t="s">
        <v>23</v>
      </c>
      <c r="C12" s="52"/>
      <c r="D12" s="12">
        <v>600</v>
      </c>
      <c r="M12" t="s">
        <v>41</v>
      </c>
      <c r="O12" s="12">
        <v>20</v>
      </c>
      <c r="P12" s="1" t="s">
        <v>33</v>
      </c>
    </row>
    <row r="13" spans="1:16" x14ac:dyDescent="0.25">
      <c r="B13" s="51" t="s">
        <v>24</v>
      </c>
      <c r="C13" s="52"/>
      <c r="D13" s="12">
        <v>1600</v>
      </c>
      <c r="M13" t="s">
        <v>47</v>
      </c>
      <c r="O13" s="12">
        <v>1600</v>
      </c>
      <c r="P13" s="1" t="s">
        <v>46</v>
      </c>
    </row>
    <row r="14" spans="1:16" x14ac:dyDescent="0.25">
      <c r="F14" t="s">
        <v>35</v>
      </c>
    </row>
    <row r="15" spans="1:16" x14ac:dyDescent="0.25">
      <c r="B15" s="8" t="s">
        <v>27</v>
      </c>
      <c r="M15" s="19" t="s">
        <v>42</v>
      </c>
      <c r="N15" s="20"/>
      <c r="O15" s="21">
        <f>M7/O11</f>
        <v>2.286040225884538</v>
      </c>
      <c r="P15" s="22" t="s">
        <v>43</v>
      </c>
    </row>
    <row r="16" spans="1:16" x14ac:dyDescent="0.25">
      <c r="F16" s="10" t="s">
        <v>28</v>
      </c>
      <c r="G16" s="15">
        <f>G9/D11</f>
        <v>1</v>
      </c>
      <c r="H16" s="16">
        <f>G10/D11</f>
        <v>0.27272727272727271</v>
      </c>
      <c r="I16" s="16">
        <f>G11/D11</f>
        <v>6.5454545454545459</v>
      </c>
      <c r="J16" s="8" t="s">
        <v>36</v>
      </c>
      <c r="M16" s="23" t="s">
        <v>44</v>
      </c>
      <c r="N16" s="24"/>
      <c r="O16" s="25">
        <f>M7/O12</f>
        <v>5.7151005647113449</v>
      </c>
      <c r="P16" s="26" t="s">
        <v>43</v>
      </c>
    </row>
    <row r="17" spans="6:16" x14ac:dyDescent="0.25">
      <c r="M17" s="27" t="s">
        <v>45</v>
      </c>
      <c r="N17" s="28"/>
      <c r="O17" s="31">
        <f>((M7*I16)/D13)</f>
        <v>0.46759913711274642</v>
      </c>
      <c r="P17" s="29" t="s">
        <v>46</v>
      </c>
    </row>
    <row r="20" spans="6:16" x14ac:dyDescent="0.25">
      <c r="F20" s="4"/>
      <c r="G20" t="s">
        <v>18</v>
      </c>
    </row>
    <row r="22" spans="6:16" x14ac:dyDescent="0.25">
      <c r="F22" s="6"/>
      <c r="G22" t="s">
        <v>19</v>
      </c>
    </row>
  </sheetData>
  <mergeCells count="10">
    <mergeCell ref="B11:C11"/>
    <mergeCell ref="B12:C12"/>
    <mergeCell ref="B13:C13"/>
    <mergeCell ref="B5:C5"/>
    <mergeCell ref="B10:C10"/>
    <mergeCell ref="A1:K1"/>
    <mergeCell ref="F4:F5"/>
    <mergeCell ref="B6:C6"/>
    <mergeCell ref="B7:C7"/>
    <mergeCell ref="B8:C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FEBE-434E-433C-82BF-80C2B6CF8336}">
  <dimension ref="A1:P28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6" x14ac:dyDescent="0.2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4" spans="1:16" x14ac:dyDescent="0.25">
      <c r="F4" s="49" t="s">
        <v>28</v>
      </c>
      <c r="G4" s="9" t="s">
        <v>22</v>
      </c>
      <c r="H4" s="9" t="s">
        <v>48</v>
      </c>
      <c r="I4" s="1"/>
    </row>
    <row r="5" spans="1:16" x14ac:dyDescent="0.25">
      <c r="B5" s="53" t="s">
        <v>21</v>
      </c>
      <c r="C5" s="54"/>
      <c r="D5" s="10" t="s">
        <v>25</v>
      </c>
      <c r="F5" s="50"/>
      <c r="G5" s="13">
        <v>1</v>
      </c>
      <c r="H5" s="13">
        <v>3</v>
      </c>
      <c r="I5" s="32"/>
      <c r="M5" s="8" t="s">
        <v>37</v>
      </c>
      <c r="N5" s="8"/>
      <c r="O5" s="8"/>
    </row>
    <row r="6" spans="1:16" x14ac:dyDescent="0.25">
      <c r="B6" s="51" t="s">
        <v>22</v>
      </c>
      <c r="C6" s="52"/>
      <c r="D6" s="12">
        <v>3110</v>
      </c>
      <c r="M6" s="11">
        <f>(F28*L25)</f>
        <v>0.40860000000000002</v>
      </c>
    </row>
    <row r="7" spans="1:16" x14ac:dyDescent="0.25">
      <c r="B7" s="55" t="s">
        <v>24</v>
      </c>
      <c r="C7" s="55"/>
      <c r="D7" s="12">
        <v>2600</v>
      </c>
      <c r="F7" t="s">
        <v>29</v>
      </c>
      <c r="M7" s="17">
        <f>(M6/O7)</f>
        <v>697.30950534230305</v>
      </c>
      <c r="N7" s="18" t="s">
        <v>33</v>
      </c>
      <c r="O7" s="2">
        <f>((G16/D6)+(H16/D7))</f>
        <v>5.8596648528320559E-4</v>
      </c>
    </row>
    <row r="8" spans="1:16" x14ac:dyDescent="0.25">
      <c r="B8" s="56"/>
      <c r="C8" s="56"/>
      <c r="D8" s="1"/>
    </row>
    <row r="9" spans="1:16" x14ac:dyDescent="0.25">
      <c r="F9" t="s">
        <v>30</v>
      </c>
      <c r="G9" s="14">
        <f>(D11*G5)</f>
        <v>1100</v>
      </c>
      <c r="H9" t="s">
        <v>33</v>
      </c>
      <c r="I9" t="s">
        <v>31</v>
      </c>
      <c r="M9" s="8" t="s">
        <v>38</v>
      </c>
      <c r="N9" s="8"/>
      <c r="O9" s="8"/>
    </row>
    <row r="10" spans="1:16" x14ac:dyDescent="0.25">
      <c r="B10" s="53" t="s">
        <v>26</v>
      </c>
      <c r="C10" s="54"/>
      <c r="D10" s="10" t="s">
        <v>25</v>
      </c>
      <c r="F10" t="s">
        <v>30</v>
      </c>
      <c r="G10" s="14">
        <f>(D12*H5)</f>
        <v>4800</v>
      </c>
      <c r="H10" t="s">
        <v>33</v>
      </c>
      <c r="I10" t="s">
        <v>34</v>
      </c>
    </row>
    <row r="11" spans="1:16" x14ac:dyDescent="0.25">
      <c r="B11" s="51" t="s">
        <v>22</v>
      </c>
      <c r="C11" s="52"/>
      <c r="D11" s="12">
        <v>1100</v>
      </c>
      <c r="G11" s="1"/>
      <c r="M11" t="s">
        <v>39</v>
      </c>
      <c r="O11" s="12">
        <v>50</v>
      </c>
      <c r="P11" s="1" t="s">
        <v>40</v>
      </c>
    </row>
    <row r="12" spans="1:16" x14ac:dyDescent="0.25">
      <c r="B12" s="55" t="s">
        <v>24</v>
      </c>
      <c r="C12" s="55"/>
      <c r="D12" s="12">
        <v>1600</v>
      </c>
      <c r="M12" t="s">
        <v>47</v>
      </c>
      <c r="O12" s="12">
        <v>1600</v>
      </c>
      <c r="P12" s="1" t="s">
        <v>46</v>
      </c>
    </row>
    <row r="13" spans="1:16" x14ac:dyDescent="0.25">
      <c r="B13" s="56"/>
      <c r="C13" s="56"/>
      <c r="D13" s="1"/>
      <c r="O13" s="1"/>
      <c r="P13" s="1"/>
    </row>
    <row r="14" spans="1:16" x14ac:dyDescent="0.25">
      <c r="F14" t="s">
        <v>35</v>
      </c>
    </row>
    <row r="15" spans="1:16" x14ac:dyDescent="0.25">
      <c r="B15" s="8" t="s">
        <v>27</v>
      </c>
      <c r="M15" s="19" t="s">
        <v>42</v>
      </c>
      <c r="N15" s="20"/>
      <c r="O15" s="21">
        <f>M7/O11</f>
        <v>13.946190106846061</v>
      </c>
      <c r="P15" s="22" t="s">
        <v>43</v>
      </c>
    </row>
    <row r="16" spans="1:16" x14ac:dyDescent="0.25">
      <c r="F16" s="10" t="s">
        <v>28</v>
      </c>
      <c r="G16" s="15">
        <f>G9/D11</f>
        <v>1</v>
      </c>
      <c r="H16" s="15">
        <f>G9/D12</f>
        <v>0.6875</v>
      </c>
      <c r="I16" s="33"/>
      <c r="J16" s="8" t="s">
        <v>36</v>
      </c>
      <c r="M16" s="27" t="s">
        <v>45</v>
      </c>
      <c r="N16" s="28"/>
      <c r="O16" s="31">
        <f>((M7*H16)/D12)</f>
        <v>0.29962517807677086</v>
      </c>
      <c r="P16" s="29" t="s">
        <v>46</v>
      </c>
    </row>
    <row r="17" spans="2:16" x14ac:dyDescent="0.25">
      <c r="M17" s="8"/>
      <c r="N17" s="8"/>
      <c r="O17" s="33"/>
      <c r="P17" s="8"/>
    </row>
    <row r="20" spans="2:16" x14ac:dyDescent="0.25">
      <c r="F20" s="4"/>
      <c r="G20" t="s">
        <v>18</v>
      </c>
    </row>
    <row r="22" spans="2:16" x14ac:dyDescent="0.25">
      <c r="F22" s="6"/>
      <c r="G22" t="s">
        <v>19</v>
      </c>
    </row>
    <row r="25" spans="2:16" x14ac:dyDescent="0.25">
      <c r="B25" t="s">
        <v>51</v>
      </c>
      <c r="F25" s="4">
        <v>43.8</v>
      </c>
      <c r="H25" t="s">
        <v>55</v>
      </c>
      <c r="L25" s="4">
        <v>5.0000000000000001E-3</v>
      </c>
    </row>
    <row r="26" spans="2:16" x14ac:dyDescent="0.25">
      <c r="B26" t="s">
        <v>52</v>
      </c>
      <c r="F26" s="4">
        <v>41.8</v>
      </c>
    </row>
    <row r="27" spans="2:16" x14ac:dyDescent="0.25">
      <c r="B27" t="s">
        <v>53</v>
      </c>
      <c r="F27" s="4">
        <v>0.8</v>
      </c>
    </row>
    <row r="28" spans="2:16" x14ac:dyDescent="0.25">
      <c r="B28" t="s">
        <v>54</v>
      </c>
      <c r="F28" s="6">
        <f>G28+H28</f>
        <v>81.72</v>
      </c>
      <c r="G28" s="2">
        <f>(F25+F26)*F27</f>
        <v>68.48</v>
      </c>
      <c r="H28" s="2">
        <v>13.24</v>
      </c>
    </row>
  </sheetData>
  <mergeCells count="10">
    <mergeCell ref="B10:C10"/>
    <mergeCell ref="B11:C11"/>
    <mergeCell ref="B12:C12"/>
    <mergeCell ref="B13:C13"/>
    <mergeCell ref="A1:K1"/>
    <mergeCell ref="F4:F5"/>
    <mergeCell ref="B5:C5"/>
    <mergeCell ref="B6:C6"/>
    <mergeCell ref="B7:C7"/>
    <mergeCell ref="B8:C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CF26-4704-4EEC-ACA6-07B21061BF3C}">
  <dimension ref="A1:P28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6" x14ac:dyDescent="0.25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4" spans="1:16" x14ac:dyDescent="0.25">
      <c r="F4" s="49" t="s">
        <v>28</v>
      </c>
      <c r="G4" s="9" t="s">
        <v>22</v>
      </c>
      <c r="H4" s="9" t="s">
        <v>23</v>
      </c>
      <c r="I4" s="9" t="s">
        <v>48</v>
      </c>
    </row>
    <row r="5" spans="1:16" x14ac:dyDescent="0.25">
      <c r="B5" s="53" t="s">
        <v>21</v>
      </c>
      <c r="C5" s="54"/>
      <c r="D5" s="10" t="s">
        <v>25</v>
      </c>
      <c r="F5" s="50"/>
      <c r="G5" s="13">
        <v>1</v>
      </c>
      <c r="H5" s="13">
        <v>2</v>
      </c>
      <c r="I5" s="13">
        <v>4.5</v>
      </c>
      <c r="M5" s="8" t="s">
        <v>37</v>
      </c>
      <c r="N5" s="8"/>
      <c r="O5" s="8"/>
    </row>
    <row r="6" spans="1:16" x14ac:dyDescent="0.25">
      <c r="B6" s="51" t="s">
        <v>22</v>
      </c>
      <c r="C6" s="52"/>
      <c r="D6" s="12">
        <v>3110</v>
      </c>
      <c r="M6" s="11">
        <f>(F28*L25)</f>
        <v>1.6344000000000001</v>
      </c>
    </row>
    <row r="7" spans="1:16" x14ac:dyDescent="0.25">
      <c r="B7" s="51" t="s">
        <v>23</v>
      </c>
      <c r="C7" s="52"/>
      <c r="D7" s="12">
        <v>1800</v>
      </c>
      <c r="F7" t="s">
        <v>29</v>
      </c>
      <c r="M7" s="17">
        <f>(M6/((G16/D6)+(H16/D7)+(I16/D8)))</f>
        <v>474.41478896527718</v>
      </c>
      <c r="N7" s="18" t="s">
        <v>33</v>
      </c>
    </row>
    <row r="8" spans="1:16" x14ac:dyDescent="0.25">
      <c r="B8" s="51" t="s">
        <v>24</v>
      </c>
      <c r="C8" s="52"/>
      <c r="D8" s="12">
        <v>2600</v>
      </c>
    </row>
    <row r="9" spans="1:16" x14ac:dyDescent="0.25">
      <c r="F9" t="s">
        <v>30</v>
      </c>
      <c r="G9" s="14">
        <f>(D11*G5)</f>
        <v>1100</v>
      </c>
      <c r="H9" t="s">
        <v>33</v>
      </c>
      <c r="I9" t="s">
        <v>31</v>
      </c>
      <c r="M9" s="8" t="s">
        <v>38</v>
      </c>
      <c r="N9" s="8"/>
      <c r="O9" s="8"/>
    </row>
    <row r="10" spans="1:16" x14ac:dyDescent="0.25">
      <c r="B10" s="53" t="s">
        <v>26</v>
      </c>
      <c r="C10" s="54"/>
      <c r="D10" s="10" t="s">
        <v>25</v>
      </c>
      <c r="F10" t="s">
        <v>30</v>
      </c>
      <c r="G10" s="14">
        <f>(D12*H5)</f>
        <v>1200</v>
      </c>
      <c r="H10" t="s">
        <v>33</v>
      </c>
      <c r="I10" t="s">
        <v>32</v>
      </c>
    </row>
    <row r="11" spans="1:16" x14ac:dyDescent="0.25">
      <c r="B11" s="51" t="s">
        <v>22</v>
      </c>
      <c r="C11" s="52"/>
      <c r="D11" s="12">
        <v>1100</v>
      </c>
      <c r="F11" t="s">
        <v>30</v>
      </c>
      <c r="G11" s="14">
        <f>(D13*I5)</f>
        <v>7200</v>
      </c>
      <c r="H11" t="s">
        <v>33</v>
      </c>
      <c r="I11" t="s">
        <v>34</v>
      </c>
      <c r="M11" t="s">
        <v>39</v>
      </c>
      <c r="O11" s="12">
        <v>50</v>
      </c>
      <c r="P11" s="1" t="s">
        <v>40</v>
      </c>
    </row>
    <row r="12" spans="1:16" x14ac:dyDescent="0.25">
      <c r="B12" s="51" t="s">
        <v>23</v>
      </c>
      <c r="C12" s="52"/>
      <c r="D12" s="12">
        <v>600</v>
      </c>
      <c r="M12" t="s">
        <v>41</v>
      </c>
      <c r="O12" s="12">
        <v>20</v>
      </c>
      <c r="P12" s="1" t="s">
        <v>33</v>
      </c>
    </row>
    <row r="13" spans="1:16" x14ac:dyDescent="0.25">
      <c r="B13" s="51" t="s">
        <v>24</v>
      </c>
      <c r="C13" s="52"/>
      <c r="D13" s="12">
        <v>1600</v>
      </c>
      <c r="M13" t="s">
        <v>47</v>
      </c>
      <c r="O13" s="12">
        <v>1600</v>
      </c>
      <c r="P13" s="1" t="s">
        <v>46</v>
      </c>
    </row>
    <row r="14" spans="1:16" x14ac:dyDescent="0.25">
      <c r="F14" t="s">
        <v>35</v>
      </c>
    </row>
    <row r="15" spans="1:16" x14ac:dyDescent="0.25">
      <c r="B15" s="8" t="s">
        <v>27</v>
      </c>
      <c r="M15" s="19" t="s">
        <v>42</v>
      </c>
      <c r="N15" s="20"/>
      <c r="O15" s="21">
        <f>M7/O11</f>
        <v>9.4882957793055436</v>
      </c>
      <c r="P15" s="22" t="s">
        <v>43</v>
      </c>
    </row>
    <row r="16" spans="1:16" x14ac:dyDescent="0.25">
      <c r="F16" s="10" t="s">
        <v>28</v>
      </c>
      <c r="G16" s="15">
        <f>G9/D11</f>
        <v>1</v>
      </c>
      <c r="H16" s="16">
        <f>G10/D11</f>
        <v>1.0909090909090908</v>
      </c>
      <c r="I16" s="16">
        <f>G11/D11</f>
        <v>6.5454545454545459</v>
      </c>
      <c r="J16" s="8" t="s">
        <v>36</v>
      </c>
      <c r="M16" s="23" t="s">
        <v>44</v>
      </c>
      <c r="N16" s="24"/>
      <c r="O16" s="25">
        <f>M7/O12</f>
        <v>23.72073944826386</v>
      </c>
      <c r="P16" s="26" t="s">
        <v>43</v>
      </c>
    </row>
    <row r="17" spans="2:16" x14ac:dyDescent="0.25">
      <c r="M17" s="27" t="s">
        <v>45</v>
      </c>
      <c r="N17" s="28"/>
      <c r="O17" s="31">
        <f>((M7*I16)/D13)</f>
        <v>1.9407877730397702</v>
      </c>
      <c r="P17" s="29" t="s">
        <v>46</v>
      </c>
    </row>
    <row r="20" spans="2:16" x14ac:dyDescent="0.25">
      <c r="F20" s="4"/>
      <c r="G20" t="s">
        <v>18</v>
      </c>
    </row>
    <row r="22" spans="2:16" x14ac:dyDescent="0.25">
      <c r="F22" s="6"/>
      <c r="G22" t="s">
        <v>19</v>
      </c>
    </row>
    <row r="25" spans="2:16" x14ac:dyDescent="0.25">
      <c r="B25" t="s">
        <v>51</v>
      </c>
      <c r="F25" s="4">
        <v>43.8</v>
      </c>
      <c r="H25" t="s">
        <v>57</v>
      </c>
      <c r="L25" s="4">
        <v>0.02</v>
      </c>
    </row>
    <row r="26" spans="2:16" x14ac:dyDescent="0.25">
      <c r="B26" t="s">
        <v>52</v>
      </c>
      <c r="F26" s="4">
        <v>41.8</v>
      </c>
    </row>
    <row r="27" spans="2:16" x14ac:dyDescent="0.25">
      <c r="B27" t="s">
        <v>53</v>
      </c>
      <c r="F27" s="4">
        <v>0.8</v>
      </c>
    </row>
    <row r="28" spans="2:16" x14ac:dyDescent="0.25">
      <c r="B28" t="s">
        <v>54</v>
      </c>
      <c r="F28" s="6">
        <f>G28+H28</f>
        <v>81.72</v>
      </c>
      <c r="G28" s="2">
        <f>(F25+F26)*F27</f>
        <v>68.48</v>
      </c>
      <c r="H28" s="2">
        <v>13.24</v>
      </c>
    </row>
  </sheetData>
  <mergeCells count="10">
    <mergeCell ref="B10:C10"/>
    <mergeCell ref="B11:C11"/>
    <mergeCell ref="B12:C12"/>
    <mergeCell ref="B13:C13"/>
    <mergeCell ref="A1:K1"/>
    <mergeCell ref="F4:F5"/>
    <mergeCell ref="B5:C5"/>
    <mergeCell ref="B6:C6"/>
    <mergeCell ref="B7:C7"/>
    <mergeCell ref="B8:C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814E-0928-4981-9071-498EE9948430}">
  <dimension ref="A1:K15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1" x14ac:dyDescent="0.2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5" spans="1:11" x14ac:dyDescent="0.25">
      <c r="B5" t="s">
        <v>51</v>
      </c>
      <c r="F5" s="4">
        <v>43.8</v>
      </c>
    </row>
    <row r="6" spans="1:11" x14ac:dyDescent="0.25">
      <c r="B6" t="s">
        <v>52</v>
      </c>
      <c r="F6" s="4">
        <v>41.8</v>
      </c>
    </row>
    <row r="7" spans="1:11" x14ac:dyDescent="0.25">
      <c r="B7" t="s">
        <v>53</v>
      </c>
      <c r="F7" s="4">
        <v>0.8</v>
      </c>
    </row>
    <row r="8" spans="1:11" x14ac:dyDescent="0.25">
      <c r="B8" t="s">
        <v>54</v>
      </c>
      <c r="F8" s="6">
        <f>G8+H8</f>
        <v>81.72</v>
      </c>
      <c r="G8" s="2">
        <f>(F5+F6)*F7</f>
        <v>68.48</v>
      </c>
      <c r="H8" s="2">
        <v>13.24</v>
      </c>
    </row>
    <row r="11" spans="1:11" x14ac:dyDescent="0.25">
      <c r="B11" t="s">
        <v>67</v>
      </c>
      <c r="F11" s="4">
        <v>1.65</v>
      </c>
    </row>
    <row r="13" spans="1:11" x14ac:dyDescent="0.25">
      <c r="B13" t="s">
        <v>68</v>
      </c>
      <c r="F13" s="30">
        <f>F8*F11</f>
        <v>134.83799999999999</v>
      </c>
    </row>
    <row r="15" spans="1:11" x14ac:dyDescent="0.25">
      <c r="B15" t="s">
        <v>69</v>
      </c>
      <c r="F15" s="7">
        <f>F13/20</f>
        <v>6.7418999999999993</v>
      </c>
    </row>
  </sheetData>
  <mergeCells count="1">
    <mergeCell ref="A1:K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E2B9-64EC-40D3-8B5B-D3F9E5169578}">
  <dimension ref="A1:K16"/>
  <sheetViews>
    <sheetView showGridLines="0" zoomScale="120" zoomScaleNormal="120" workbookViewId="0">
      <selection sqref="A1:K1"/>
    </sheetView>
  </sheetViews>
  <sheetFormatPr defaultRowHeight="15" x14ac:dyDescent="0.25"/>
  <cols>
    <col min="2" max="2" width="11.42578125" customWidth="1"/>
  </cols>
  <sheetData>
    <row r="1" spans="1:11" x14ac:dyDescent="0.25">
      <c r="A1" s="48" t="s">
        <v>79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5" spans="1:11" x14ac:dyDescent="0.25">
      <c r="B5" t="s">
        <v>80</v>
      </c>
      <c r="F5" s="4">
        <v>362.56</v>
      </c>
      <c r="G5" t="s">
        <v>76</v>
      </c>
    </row>
    <row r="7" spans="1:11" x14ac:dyDescent="0.25">
      <c r="B7" t="s">
        <v>81</v>
      </c>
      <c r="F7" s="4">
        <v>100</v>
      </c>
      <c r="G7" t="s">
        <v>76</v>
      </c>
    </row>
    <row r="9" spans="1:11" x14ac:dyDescent="0.25">
      <c r="B9" t="s">
        <v>82</v>
      </c>
      <c r="E9" s="7">
        <f>F5/F7</f>
        <v>3.6255999999999999</v>
      </c>
      <c r="F9" t="s">
        <v>83</v>
      </c>
    </row>
    <row r="12" spans="1:11" x14ac:dyDescent="0.25">
      <c r="B12" t="s">
        <v>87</v>
      </c>
      <c r="F12" s="4">
        <v>300</v>
      </c>
      <c r="G12" t="s">
        <v>76</v>
      </c>
    </row>
    <row r="14" spans="1:11" x14ac:dyDescent="0.25">
      <c r="B14" t="s">
        <v>88</v>
      </c>
      <c r="F14" s="6">
        <f>F12/2</f>
        <v>150</v>
      </c>
    </row>
    <row r="16" spans="1:11" x14ac:dyDescent="0.25">
      <c r="B16" t="s">
        <v>89</v>
      </c>
      <c r="E16" s="7">
        <f>F5/F14</f>
        <v>2.4170666666666665</v>
      </c>
      <c r="F16" t="s">
        <v>90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D192-3DE9-4C91-BD61-BD2186F6BDBA}">
  <dimension ref="A1:M28"/>
  <sheetViews>
    <sheetView showGridLines="0" zoomScale="120" zoomScaleNormal="120" workbookViewId="0">
      <selection activeCell="F25" sqref="F25"/>
    </sheetView>
  </sheetViews>
  <sheetFormatPr defaultRowHeight="15" x14ac:dyDescent="0.25"/>
  <cols>
    <col min="2" max="2" width="11.42578125" customWidth="1"/>
  </cols>
  <sheetData>
    <row r="1" spans="1:13" x14ac:dyDescent="0.25">
      <c r="A1" s="48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3" x14ac:dyDescent="0.25">
      <c r="B3" s="8" t="s">
        <v>103</v>
      </c>
      <c r="C3" s="8"/>
      <c r="D3" s="13">
        <v>1</v>
      </c>
      <c r="E3" s="13">
        <v>2</v>
      </c>
      <c r="F3" s="13">
        <v>3</v>
      </c>
    </row>
    <row r="5" spans="1:13" x14ac:dyDescent="0.25">
      <c r="B5" t="s">
        <v>92</v>
      </c>
      <c r="F5" s="4">
        <v>0.19</v>
      </c>
      <c r="G5" t="s">
        <v>77</v>
      </c>
      <c r="H5" t="s">
        <v>104</v>
      </c>
      <c r="K5" s="30">
        <f>(F13/B24)</f>
        <v>610.37910447761192</v>
      </c>
    </row>
    <row r="7" spans="1:13" x14ac:dyDescent="0.25">
      <c r="B7" t="s">
        <v>93</v>
      </c>
      <c r="F7" s="4">
        <v>0.21</v>
      </c>
      <c r="G7" t="s">
        <v>77</v>
      </c>
      <c r="H7" t="s">
        <v>105</v>
      </c>
      <c r="L7" s="4">
        <v>1.4</v>
      </c>
      <c r="M7" t="s">
        <v>102</v>
      </c>
    </row>
    <row r="8" spans="1:13" x14ac:dyDescent="0.25">
      <c r="H8" t="s">
        <v>106</v>
      </c>
      <c r="L8" s="4">
        <v>1.7</v>
      </c>
      <c r="M8" t="s">
        <v>102</v>
      </c>
    </row>
    <row r="9" spans="1:13" x14ac:dyDescent="0.25">
      <c r="B9" t="s">
        <v>94</v>
      </c>
      <c r="F9" s="4">
        <v>42.8</v>
      </c>
      <c r="G9" t="s">
        <v>77</v>
      </c>
      <c r="H9" t="s">
        <v>107</v>
      </c>
      <c r="L9" s="4">
        <v>1.8</v>
      </c>
      <c r="M9" t="s">
        <v>102</v>
      </c>
    </row>
    <row r="11" spans="1:13" x14ac:dyDescent="0.25">
      <c r="B11" t="s">
        <v>95</v>
      </c>
      <c r="F11" s="30">
        <f>(F5*F7*F9)</f>
        <v>1.7077199999999999</v>
      </c>
      <c r="G11" t="s">
        <v>46</v>
      </c>
    </row>
    <row r="12" spans="1:13" x14ac:dyDescent="0.25">
      <c r="H12" t="s">
        <v>108</v>
      </c>
      <c r="L12" s="7">
        <f>(((K5*D3)/L7)/50)</f>
        <v>8.7197014925373146</v>
      </c>
      <c r="M12" t="s">
        <v>43</v>
      </c>
    </row>
    <row r="13" spans="1:13" x14ac:dyDescent="0.25">
      <c r="B13" t="s">
        <v>96</v>
      </c>
      <c r="F13" s="6">
        <f>F11*1000</f>
        <v>1707.7199999999998</v>
      </c>
      <c r="G13" t="s">
        <v>97</v>
      </c>
    </row>
    <row r="14" spans="1:13" x14ac:dyDescent="0.25">
      <c r="H14" t="s">
        <v>109</v>
      </c>
      <c r="L14" s="30">
        <f>(((K5*E3)/L8)/1000)</f>
        <v>0.71809306409130813</v>
      </c>
      <c r="M14" t="s">
        <v>46</v>
      </c>
    </row>
    <row r="15" spans="1:13" x14ac:dyDescent="0.25">
      <c r="B15" t="s">
        <v>98</v>
      </c>
      <c r="E15" s="4">
        <v>3.15</v>
      </c>
      <c r="F15" s="43" t="s">
        <v>102</v>
      </c>
    </row>
    <row r="16" spans="1:13" x14ac:dyDescent="0.25">
      <c r="B16" t="s">
        <v>99</v>
      </c>
      <c r="E16" s="42">
        <v>2.6</v>
      </c>
      <c r="F16" s="43" t="s">
        <v>102</v>
      </c>
      <c r="H16" t="s">
        <v>110</v>
      </c>
      <c r="L16" s="30">
        <f>(((K5*F3)/L9)/1000)</f>
        <v>1.0172985074626866</v>
      </c>
      <c r="M16" t="s">
        <v>46</v>
      </c>
    </row>
    <row r="17" spans="2:13" x14ac:dyDescent="0.25">
      <c r="B17" t="s">
        <v>100</v>
      </c>
      <c r="E17" s="42">
        <v>2.7</v>
      </c>
      <c r="F17" s="43" t="s">
        <v>102</v>
      </c>
    </row>
    <row r="18" spans="2:13" x14ac:dyDescent="0.25">
      <c r="B18" t="s">
        <v>101</v>
      </c>
      <c r="E18" s="42">
        <v>0.6</v>
      </c>
    </row>
    <row r="20" spans="2:13" x14ac:dyDescent="0.25">
      <c r="H20" t="s">
        <v>114</v>
      </c>
      <c r="L20" s="4">
        <v>175.2</v>
      </c>
      <c r="M20" t="s">
        <v>77</v>
      </c>
    </row>
    <row r="21" spans="2:13" x14ac:dyDescent="0.25">
      <c r="B21" s="2">
        <f>(D3/E15)</f>
        <v>0.31746031746031744</v>
      </c>
      <c r="H21" t="s">
        <v>113</v>
      </c>
      <c r="L21" s="7">
        <f>L20/12</f>
        <v>14.6</v>
      </c>
      <c r="M21" t="s">
        <v>59</v>
      </c>
    </row>
    <row r="22" spans="2:13" x14ac:dyDescent="0.25">
      <c r="B22" s="2">
        <f>(E3/E16)</f>
        <v>0.76923076923076916</v>
      </c>
    </row>
    <row r="23" spans="2:13" x14ac:dyDescent="0.25">
      <c r="B23" s="2">
        <f>(F3/E17)</f>
        <v>1.1111111111111109</v>
      </c>
      <c r="H23" t="s">
        <v>115</v>
      </c>
      <c r="L23" s="4">
        <v>153.30000000000001</v>
      </c>
      <c r="M23" t="s">
        <v>77</v>
      </c>
    </row>
    <row r="24" spans="2:13" x14ac:dyDescent="0.25">
      <c r="B24" s="11">
        <f>SUM(B21+B22+B23+E18)</f>
        <v>2.7978021978021976</v>
      </c>
      <c r="H24" t="s">
        <v>116</v>
      </c>
      <c r="L24" s="7">
        <f>L23/12</f>
        <v>12.775</v>
      </c>
      <c r="M24" t="s">
        <v>59</v>
      </c>
    </row>
    <row r="26" spans="2:13" x14ac:dyDescent="0.25">
      <c r="H26" t="s">
        <v>117</v>
      </c>
      <c r="K26" s="42">
        <v>0.7</v>
      </c>
      <c r="L26" t="s">
        <v>77</v>
      </c>
    </row>
    <row r="28" spans="2:13" x14ac:dyDescent="0.25">
      <c r="H28" t="s">
        <v>122</v>
      </c>
      <c r="K28" s="30">
        <f>F9*4</f>
        <v>171.2</v>
      </c>
      <c r="L28" t="s">
        <v>77</v>
      </c>
    </row>
  </sheetData>
  <mergeCells count="1">
    <mergeCell ref="A1:K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B2CF-890F-4343-87FF-581BCF8B7B2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Oitão</vt:lpstr>
      <vt:lpstr>Alvenaria</vt:lpstr>
      <vt:lpstr>Argamassa</vt:lpstr>
      <vt:lpstr>Chapisco</vt:lpstr>
      <vt:lpstr>Emboço</vt:lpstr>
      <vt:lpstr>Reboco</vt:lpstr>
      <vt:lpstr>Pintura</vt:lpstr>
      <vt:lpstr>Viga de Respaldo</vt:lpstr>
      <vt:lpstr>Planilha1</vt:lpstr>
      <vt:lpstr>Tabuas e Sarrafos</vt:lpstr>
      <vt:lpstr>Piso</vt:lpstr>
      <vt:lpstr>Forro</vt:lpstr>
      <vt:lpstr>Telhado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</dc:creator>
  <cp:lastModifiedBy>João</cp:lastModifiedBy>
  <dcterms:created xsi:type="dcterms:W3CDTF">2024-06-29T15:05:27Z</dcterms:created>
  <dcterms:modified xsi:type="dcterms:W3CDTF">2024-07-09T17:04:20Z</dcterms:modified>
</cp:coreProperties>
</file>